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2240"/>
  </bookViews>
  <sheets>
    <sheet name="Draft Reserve 15yr 09" sheetId="2" r:id="rId1"/>
  </sheets>
  <definedNames>
    <definedName name="_xlnm.Print_Area" localSheetId="0">'Draft Reserve 15yr 09'!$A$1:$S$58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2"/>
  <c r="F10"/>
  <c r="G10"/>
  <c r="C47"/>
  <c r="C51"/>
  <c r="J37"/>
  <c r="D38"/>
  <c r="D36"/>
  <c r="D35"/>
  <c r="F35"/>
  <c r="G35"/>
  <c r="D34"/>
  <c r="F34"/>
  <c r="G34"/>
  <c r="D33"/>
  <c r="F33"/>
  <c r="G33"/>
  <c r="D32"/>
  <c r="F32"/>
  <c r="G32"/>
  <c r="J35"/>
  <c r="J34"/>
  <c r="J33"/>
  <c r="J27"/>
  <c r="F27"/>
  <c r="G27"/>
  <c r="J24"/>
  <c r="F24"/>
  <c r="G24"/>
  <c r="J23"/>
  <c r="F23"/>
  <c r="G23"/>
  <c r="J15"/>
  <c r="J14"/>
  <c r="F15"/>
  <c r="G15"/>
  <c r="F14"/>
  <c r="G14"/>
  <c r="J13"/>
  <c r="F13"/>
  <c r="G13"/>
  <c r="J25"/>
  <c r="F25"/>
  <c r="G25"/>
  <c r="J12"/>
  <c r="F12"/>
  <c r="G12"/>
  <c r="J8"/>
  <c r="J16"/>
  <c r="P4"/>
  <c r="F8"/>
  <c r="G8"/>
  <c r="F9"/>
  <c r="G9"/>
  <c r="J9"/>
  <c r="F11"/>
  <c r="G11"/>
  <c r="J11"/>
  <c r="F16"/>
  <c r="G16"/>
  <c r="F20"/>
  <c r="G20"/>
  <c r="J20"/>
  <c r="F21"/>
  <c r="G21"/>
  <c r="J21"/>
  <c r="F22"/>
  <c r="G22"/>
  <c r="J22"/>
  <c r="F26"/>
  <c r="G26"/>
  <c r="J26"/>
  <c r="J32"/>
  <c r="F36"/>
  <c r="G36"/>
  <c r="J36"/>
  <c r="F37"/>
  <c r="G37"/>
  <c r="F38"/>
  <c r="G38"/>
  <c r="J38"/>
  <c r="F39"/>
  <c r="G39"/>
  <c r="J39"/>
  <c r="G17"/>
  <c r="G40"/>
  <c r="G28"/>
  <c r="G41"/>
  <c r="L40"/>
  <c r="M40"/>
  <c r="O40"/>
  <c r="L34"/>
  <c r="M34"/>
  <c r="O34"/>
  <c r="P38"/>
  <c r="P34"/>
  <c r="L33"/>
  <c r="L32"/>
  <c r="L35"/>
  <c r="L36"/>
  <c r="L37"/>
  <c r="L38"/>
  <c r="L39"/>
  <c r="L41"/>
  <c r="P35"/>
  <c r="M37"/>
  <c r="O37"/>
  <c r="M38"/>
  <c r="O38"/>
  <c r="P32"/>
  <c r="P39"/>
  <c r="P36"/>
  <c r="P33"/>
  <c r="P37"/>
  <c r="P40"/>
  <c r="P41"/>
  <c r="M32"/>
  <c r="O32"/>
  <c r="M36"/>
  <c r="O36"/>
  <c r="M35"/>
  <c r="O35"/>
  <c r="M39"/>
  <c r="O39"/>
  <c r="M33"/>
  <c r="O33"/>
  <c r="O41"/>
  <c r="G29"/>
  <c r="L25"/>
  <c r="M25"/>
  <c r="O25"/>
  <c r="R41"/>
  <c r="S42"/>
  <c r="S41"/>
  <c r="P28"/>
  <c r="L27"/>
  <c r="M27"/>
  <c r="O27"/>
  <c r="L21"/>
  <c r="M21"/>
  <c r="O21"/>
  <c r="P23"/>
  <c r="L23"/>
  <c r="M23"/>
  <c r="O23"/>
  <c r="L24"/>
  <c r="M24"/>
  <c r="O24"/>
  <c r="P20"/>
  <c r="P27"/>
  <c r="P24"/>
  <c r="L22"/>
  <c r="M22"/>
  <c r="O22"/>
  <c r="L26"/>
  <c r="M26"/>
  <c r="O26"/>
  <c r="P26"/>
  <c r="L28"/>
  <c r="M28"/>
  <c r="O28"/>
  <c r="P21"/>
  <c r="P22"/>
  <c r="L20"/>
  <c r="P25"/>
  <c r="M20"/>
  <c r="O20"/>
  <c r="O29"/>
  <c r="L29"/>
  <c r="L44"/>
  <c r="P29"/>
  <c r="S29"/>
  <c r="O44"/>
  <c r="R29"/>
  <c r="P44"/>
  <c r="S30"/>
  <c r="S44"/>
</calcChain>
</file>

<file path=xl/sharedStrings.xml><?xml version="1.0" encoding="utf-8"?>
<sst xmlns="http://schemas.openxmlformats.org/spreadsheetml/2006/main" count="134" uniqueCount="92">
  <si>
    <t>Unit</t>
  </si>
  <si>
    <t>Replace</t>
  </si>
  <si>
    <t>15 Yr</t>
  </si>
  <si>
    <t>Est.</t>
  </si>
  <si>
    <t>Rem.</t>
  </si>
  <si>
    <t>CFWD</t>
  </si>
  <si>
    <t>To</t>
  </si>
  <si>
    <t>TBF</t>
  </si>
  <si>
    <t>Item</t>
  </si>
  <si>
    <t>Qty</t>
  </si>
  <si>
    <t>Cost</t>
  </si>
  <si>
    <t>Plan</t>
  </si>
  <si>
    <t>Fund</t>
  </si>
  <si>
    <t>Be</t>
  </si>
  <si>
    <t>Annual</t>
  </si>
  <si>
    <t>yrs</t>
  </si>
  <si>
    <t>Allocation</t>
  </si>
  <si>
    <t>Funded</t>
  </si>
  <si>
    <t>Cont.</t>
  </si>
  <si>
    <t>Comments</t>
  </si>
  <si>
    <t xml:space="preserve">         Commons:</t>
  </si>
  <si>
    <t>Landscaping improvements</t>
  </si>
  <si>
    <t>EA</t>
  </si>
  <si>
    <t>SFL</t>
  </si>
  <si>
    <t>Electrical - lighting/signage</t>
  </si>
  <si>
    <t>COMMONS TOTALS:</t>
  </si>
  <si>
    <t>Sq</t>
  </si>
  <si>
    <t>BUILDING TOTALS:</t>
  </si>
  <si>
    <t>HOA TOTALS:</t>
  </si>
  <si>
    <t>Last</t>
  </si>
  <si>
    <t>Done</t>
  </si>
  <si>
    <t>CHARTER RIDGE TOWNHOMES</t>
  </si>
  <si>
    <t>Replacement Reserve Fund Plan</t>
  </si>
  <si>
    <t>Entrance sign/lighting</t>
  </si>
  <si>
    <t>Major upgrade/maint. Every 5 years</t>
  </si>
  <si>
    <t xml:space="preserve">         Duplexes:</t>
  </si>
  <si>
    <t>The wise investment of reserve funds should help offset inflationary increases. Therefore no such adjustments have been made.</t>
  </si>
  <si>
    <t>No warranties are made. The Executive Board should verify all data to their satisfaction and review this plan annually.</t>
  </si>
  <si>
    <t xml:space="preserve">                  - concrete walkways</t>
  </si>
  <si>
    <t xml:space="preserve"> </t>
  </si>
  <si>
    <t>Facade replacement - vertical wood surfaces</t>
  </si>
  <si>
    <t>Facade repairs - vertical wood surfaces</t>
  </si>
  <si>
    <t>Includes wood trim, facia, doors, windows</t>
  </si>
  <si>
    <t>Decks/Railings/Stairs/Patios</t>
  </si>
  <si>
    <t>Repaint + repairs</t>
  </si>
  <si>
    <t>Sewer Lift Stations</t>
  </si>
  <si>
    <t>$62 and #42 replaced 2008; HOA has 1 spare</t>
  </si>
  <si>
    <t>SFW</t>
  </si>
  <si>
    <t>Retaining Walls - timber</t>
  </si>
  <si>
    <t xml:space="preserve">                         - rock/stucco</t>
  </si>
  <si>
    <t xml:space="preserve">                         - boulder</t>
  </si>
  <si>
    <t>SF</t>
  </si>
  <si>
    <t>Repair</t>
  </si>
  <si>
    <t>Special Assessment Duplexes</t>
  </si>
  <si>
    <t>Special Assessment Single Family</t>
  </si>
  <si>
    <t>Roofing Repairs - concrete tile</t>
  </si>
  <si>
    <t>Roofing Replacement - concrete tile</t>
  </si>
  <si>
    <t>Turner Morris bid 5/29/09</t>
  </si>
  <si>
    <t>Duplex share of commons (86.5%)</t>
  </si>
  <si>
    <t xml:space="preserve">         Single Family:</t>
  </si>
  <si>
    <t>SF share of commons (13.5%)</t>
  </si>
  <si>
    <t>without added inflation/interest</t>
  </si>
  <si>
    <t>Percentage level of funding:</t>
  </si>
  <si>
    <t>Total percentage level of funding:</t>
  </si>
  <si>
    <t>** Dues increase required assumes 100% funding level desired. Current funding level also indicated.</t>
  </si>
  <si>
    <t>Use Life</t>
  </si>
  <si>
    <t>Facade repairs - cultured ledge stone</t>
  </si>
  <si>
    <t>Facade repairs - EIFS stucco</t>
  </si>
  <si>
    <t>All representations are estimates and assumptions of the expected life of major components only and the expected costs to repair or replace at today's prices.</t>
  </si>
  <si>
    <t xml:space="preserve">         SF   Square Foot</t>
  </si>
  <si>
    <t>Key:  EA   Each</t>
  </si>
  <si>
    <t xml:space="preserve">         SFL  Square Foot Living (Units)</t>
  </si>
  <si>
    <t xml:space="preserve">         SFW Square Foot Walking (surface)</t>
  </si>
  <si>
    <t xml:space="preserve">         Sq    Square (10'x10')</t>
  </si>
  <si>
    <t xml:space="preserve">                  - asphalt overlay (some milling)</t>
  </si>
  <si>
    <t>Completion date of buildings - 1994</t>
  </si>
  <si>
    <t xml:space="preserve">         Cfwd  Carried Forward balances</t>
  </si>
  <si>
    <t xml:space="preserve">         TBF    To Be Funded</t>
  </si>
  <si>
    <t>Sealcoat needed</t>
  </si>
  <si>
    <t>Pavement  - sealcoat</t>
  </si>
  <si>
    <t xml:space="preserve">                  - crackseal and patching</t>
  </si>
  <si>
    <t>LF</t>
  </si>
  <si>
    <t>Cracksealing needed</t>
  </si>
  <si>
    <t>Below threshold, but included for comparison</t>
  </si>
  <si>
    <t>(for Fiscal yr end 9/30/13)</t>
  </si>
  <si>
    <t>Final Updated Plan 10/30/2012</t>
  </si>
  <si>
    <t xml:space="preserve"> 10/01/12 Fund Balance Duplexes:</t>
  </si>
  <si>
    <t xml:space="preserve"> 10/01/12 Fund Balance SF:</t>
  </si>
  <si>
    <t>10/01/12 Total Fund Balance :</t>
  </si>
  <si>
    <t>2013 Budgetted Res Inc Duplexes:</t>
  </si>
  <si>
    <t>2013 Budgetted Reserve Income SF:</t>
  </si>
  <si>
    <t>2013 Total Bdgt Income: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</si>
</sst>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24">
    <font>
      <sz val="10"/>
      <name val="Arial"/>
    </font>
    <font>
      <b/>
      <i/>
      <u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i/>
      <u/>
      <sz val="8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14" fontId="4" fillId="0" borderId="0" xfId="0" applyNumberFormat="1" applyFont="1"/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/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/>
    <xf numFmtId="1" fontId="9" fillId="2" borderId="0" xfId="0" applyNumberFormat="1" applyFont="1" applyFill="1" applyAlignment="1">
      <alignment horizontal="left"/>
    </xf>
    <xf numFmtId="1" fontId="3" fillId="2" borderId="0" xfId="0" applyNumberFormat="1" applyFont="1" applyFill="1"/>
    <xf numFmtId="0" fontId="13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0" fontId="13" fillId="0" borderId="0" xfId="0" applyFont="1" applyAlignment="1">
      <alignment horizontal="center"/>
    </xf>
    <xf numFmtId="1" fontId="13" fillId="0" borderId="0" xfId="0" applyNumberFormat="1" applyFont="1"/>
    <xf numFmtId="1" fontId="13" fillId="0" borderId="0" xfId="0" applyNumberFormat="1" applyFont="1" applyAlignment="1">
      <alignment horizontal="center"/>
    </xf>
    <xf numFmtId="1" fontId="13" fillId="0" borderId="0" xfId="0" quotePrefix="1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/>
    <xf numFmtId="1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13" fillId="2" borderId="0" xfId="0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1" fontId="13" fillId="2" borderId="0" xfId="0" quotePrefix="1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/>
    <xf numFmtId="0" fontId="14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/>
    <xf numFmtId="1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right"/>
    </xf>
    <xf numFmtId="1" fontId="14" fillId="0" borderId="0" xfId="0" applyNumberFormat="1" applyFont="1"/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9" fillId="0" borderId="0" xfId="0" applyNumberFormat="1" applyFont="1"/>
    <xf numFmtId="1" fontId="17" fillId="0" borderId="0" xfId="0" applyNumberFormat="1" applyFont="1"/>
    <xf numFmtId="1" fontId="18" fillId="0" borderId="0" xfId="0" applyNumberFormat="1" applyFont="1"/>
    <xf numFmtId="2" fontId="6" fillId="0" borderId="0" xfId="0" applyNumberFormat="1" applyFont="1"/>
    <xf numFmtId="1" fontId="6" fillId="0" borderId="0" xfId="0" applyNumberFormat="1" applyFont="1"/>
    <xf numFmtId="0" fontId="0" fillId="0" borderId="0" xfId="0" quotePrefix="1" applyAlignment="1">
      <alignment horizontal="righ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left"/>
    </xf>
    <xf numFmtId="0" fontId="19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1" fontId="9" fillId="2" borderId="0" xfId="0" applyNumberFormat="1" applyFont="1" applyFill="1" applyAlignment="1">
      <alignment horizontal="center" vertical="top" wrapText="1"/>
    </xf>
    <xf numFmtId="164" fontId="13" fillId="0" borderId="0" xfId="0" applyNumberFormat="1" applyFont="1"/>
    <xf numFmtId="164" fontId="13" fillId="0" borderId="0" xfId="0" applyNumberFormat="1" applyFont="1" applyAlignment="1">
      <alignment horizontal="center"/>
    </xf>
    <xf numFmtId="164" fontId="13" fillId="0" borderId="0" xfId="0" quotePrefix="1" applyNumberFormat="1" applyFont="1" applyAlignment="1">
      <alignment horizontal="center"/>
    </xf>
    <xf numFmtId="164" fontId="9" fillId="0" borderId="0" xfId="0" quotePrefix="1" applyNumberFormat="1" applyFont="1" applyAlignment="1">
      <alignment horizontal="center"/>
    </xf>
    <xf numFmtId="164" fontId="13" fillId="2" borderId="0" xfId="0" applyNumberFormat="1" applyFont="1" applyFill="1"/>
    <xf numFmtId="164" fontId="13" fillId="2" borderId="0" xfId="0" applyNumberFormat="1" applyFont="1" applyFill="1" applyAlignment="1">
      <alignment horizontal="center"/>
    </xf>
    <xf numFmtId="164" fontId="13" fillId="2" borderId="0" xfId="0" quotePrefix="1" applyNumberFormat="1" applyFont="1" applyFill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9" fillId="3" borderId="0" xfId="0" quotePrefix="1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left"/>
    </xf>
    <xf numFmtId="164" fontId="6" fillId="3" borderId="0" xfId="0" applyNumberFormat="1" applyFont="1" applyFill="1" applyAlignment="1">
      <alignment horizontal="center"/>
    </xf>
    <xf numFmtId="165" fontId="13" fillId="0" borderId="0" xfId="0" applyNumberFormat="1" applyFont="1"/>
    <xf numFmtId="1" fontId="6" fillId="0" borderId="0" xfId="0" applyNumberFormat="1" applyFont="1" applyAlignment="1">
      <alignment horizontal="left"/>
    </xf>
    <xf numFmtId="0" fontId="4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/>
    <xf numFmtId="164" fontId="13" fillId="0" borderId="0" xfId="0" applyNumberFormat="1" applyFont="1" applyFill="1" applyAlignment="1">
      <alignment horizontal="center"/>
    </xf>
    <xf numFmtId="164" fontId="13" fillId="0" borderId="0" xfId="0" quotePrefix="1" applyNumberFormat="1" applyFont="1" applyFill="1" applyAlignment="1">
      <alignment horizontal="center"/>
    </xf>
    <xf numFmtId="1" fontId="13" fillId="0" borderId="0" xfId="0" quotePrefix="1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0" fontId="0" fillId="0" borderId="0" xfId="0" applyFill="1"/>
    <xf numFmtId="1" fontId="2" fillId="0" borderId="0" xfId="0" applyNumberFormat="1" applyFont="1" applyAlignment="1">
      <alignment horizontal="left"/>
    </xf>
    <xf numFmtId="0" fontId="13" fillId="0" borderId="0" xfId="0" quotePrefix="1" applyNumberFormat="1" applyFont="1" applyAlignment="1">
      <alignment horizontal="center"/>
    </xf>
    <xf numFmtId="1" fontId="4" fillId="2" borderId="0" xfId="0" applyNumberFormat="1" applyFont="1" applyFill="1" applyAlignment="1">
      <alignment horizontal="right"/>
    </xf>
    <xf numFmtId="9" fontId="13" fillId="2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23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E61"/>
  <sheetViews>
    <sheetView tabSelected="1" zoomScale="125" zoomScaleNormal="125" zoomScalePageLayoutView="125" workbookViewId="0">
      <pane xSplit="1" ySplit="6" topLeftCell="B10" activePane="bottomRight" state="frozen"/>
      <selection pane="topRight" activeCell="B1" sqref="B1"/>
      <selection pane="bottomLeft" activeCell="A8" sqref="A8"/>
      <selection pane="bottomRight" activeCell="A52" sqref="A52"/>
    </sheetView>
  </sheetViews>
  <sheetFormatPr defaultColWidth="8.85546875" defaultRowHeight="12.75"/>
  <cols>
    <col min="1" max="1" width="34.42578125" customWidth="1"/>
    <col min="2" max="2" width="7.140625" bestFit="1" customWidth="1"/>
    <col min="3" max="3" width="6.42578125" customWidth="1"/>
    <col min="4" max="4" width="7.85546875" bestFit="1" customWidth="1"/>
    <col min="5" max="5" width="2.42578125" customWidth="1"/>
    <col min="6" max="6" width="7.42578125" bestFit="1" customWidth="1"/>
    <col min="7" max="7" width="7.42578125" style="10" customWidth="1"/>
    <col min="8" max="8" width="5.140625" style="10" customWidth="1"/>
    <col min="9" max="10" width="7.42578125" style="10" customWidth="1"/>
    <col min="11" max="11" width="2.42578125" style="10" customWidth="1"/>
    <col min="12" max="12" width="9" style="10" bestFit="1" customWidth="1"/>
    <col min="13" max="13" width="7.42578125" style="10" bestFit="1" customWidth="1"/>
    <col min="14" max="14" width="2.7109375" style="10" customWidth="1"/>
    <col min="15" max="15" width="9" style="10" customWidth="1"/>
    <col min="16" max="16" width="8.42578125" style="10" bestFit="1" customWidth="1"/>
    <col min="17" max="17" width="2.28515625" style="10" customWidth="1"/>
    <col min="18" max="18" width="32.42578125" style="4" customWidth="1"/>
    <col min="19" max="19" width="5" style="10" bestFit="1" customWidth="1"/>
    <col min="20" max="20" width="5.7109375" style="10" customWidth="1"/>
    <col min="21" max="21" width="6.42578125" bestFit="1" customWidth="1"/>
    <col min="22" max="22" width="6.42578125" customWidth="1"/>
    <col min="23" max="23" width="5.85546875" bestFit="1" customWidth="1"/>
    <col min="24" max="25" width="6.140625" bestFit="1" customWidth="1"/>
    <col min="26" max="27" width="6.42578125" customWidth="1"/>
    <col min="28" max="28" width="6.7109375" bestFit="1" customWidth="1"/>
    <col min="29" max="29" width="8.7109375" bestFit="1" customWidth="1"/>
    <col min="30" max="30" width="2.42578125" customWidth="1"/>
    <col min="31" max="31" width="40.28515625" bestFit="1" customWidth="1"/>
  </cols>
  <sheetData>
    <row r="1" spans="1:31" ht="18.75">
      <c r="A1" s="1" t="s">
        <v>31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86" t="s">
        <v>85</v>
      </c>
      <c r="S1" s="3"/>
      <c r="T1" s="3"/>
      <c r="U1" s="2"/>
      <c r="AC1" s="5"/>
      <c r="AE1" s="6"/>
    </row>
    <row r="2" spans="1:31" ht="17.25" customHeight="1">
      <c r="A2" s="7" t="s">
        <v>32</v>
      </c>
      <c r="B2" s="8">
        <v>2013</v>
      </c>
      <c r="C2" s="9" t="s">
        <v>84</v>
      </c>
      <c r="R2" s="97" t="s">
        <v>61</v>
      </c>
      <c r="U2" s="11"/>
      <c r="V2" s="12"/>
      <c r="Y2" s="9"/>
      <c r="Z2" s="9"/>
      <c r="AB2" s="13"/>
      <c r="AE2" s="9"/>
    </row>
    <row r="3" spans="1:31">
      <c r="A3" s="105" t="s">
        <v>75</v>
      </c>
      <c r="U3" s="14"/>
    </row>
    <row r="4" spans="1:31" s="15" customFormat="1">
      <c r="B4" s="16"/>
      <c r="C4" s="16"/>
      <c r="D4" s="17" t="s">
        <v>0</v>
      </c>
      <c r="E4" s="17"/>
      <c r="F4" s="17" t="s">
        <v>1</v>
      </c>
      <c r="G4" s="18" t="s">
        <v>2</v>
      </c>
      <c r="H4" s="18"/>
      <c r="I4" s="17" t="s">
        <v>3</v>
      </c>
      <c r="J4" s="17" t="s">
        <v>4</v>
      </c>
      <c r="K4" s="18"/>
      <c r="L4" s="18" t="s">
        <v>5</v>
      </c>
      <c r="M4" s="18" t="s">
        <v>6</v>
      </c>
      <c r="N4" s="18"/>
      <c r="O4" s="18" t="s">
        <v>7</v>
      </c>
      <c r="P4" s="18">
        <f>B2</f>
        <v>2013</v>
      </c>
      <c r="Q4" s="18"/>
      <c r="R4" s="19"/>
      <c r="S4" s="18"/>
      <c r="T4" s="20"/>
      <c r="U4" s="21"/>
    </row>
    <row r="5" spans="1:31" s="15" customFormat="1">
      <c r="A5" s="22" t="s">
        <v>8</v>
      </c>
      <c r="B5" s="17" t="s">
        <v>9</v>
      </c>
      <c r="C5" s="23" t="s">
        <v>0</v>
      </c>
      <c r="D5" s="17" t="s">
        <v>10</v>
      </c>
      <c r="E5" s="17"/>
      <c r="F5" s="17" t="s">
        <v>52</v>
      </c>
      <c r="G5" s="18" t="s">
        <v>11</v>
      </c>
      <c r="H5" s="71" t="s">
        <v>30</v>
      </c>
      <c r="I5" s="17" t="s">
        <v>65</v>
      </c>
      <c r="J5" s="17" t="s">
        <v>65</v>
      </c>
      <c r="K5" s="18"/>
      <c r="L5" s="18" t="s">
        <v>12</v>
      </c>
      <c r="M5" s="18" t="s">
        <v>13</v>
      </c>
      <c r="N5" s="18"/>
      <c r="O5" s="18" t="s">
        <v>14</v>
      </c>
      <c r="P5" s="18" t="s">
        <v>14</v>
      </c>
      <c r="Q5" s="18"/>
      <c r="R5" s="19"/>
      <c r="S5" s="18"/>
      <c r="T5" s="20"/>
      <c r="U5" s="24"/>
      <c r="V5" s="24"/>
      <c r="W5" s="24"/>
      <c r="X5" s="24"/>
      <c r="Y5" s="24"/>
      <c r="Z5" s="24"/>
      <c r="AA5" s="24"/>
      <c r="AB5" s="24"/>
      <c r="AC5" s="24"/>
      <c r="AD5" s="25"/>
      <c r="AE5" s="26"/>
    </row>
    <row r="6" spans="1:31" s="15" customFormat="1">
      <c r="B6" s="16"/>
      <c r="C6" s="16"/>
      <c r="D6" s="17"/>
      <c r="E6" s="17"/>
      <c r="F6" s="17" t="s">
        <v>10</v>
      </c>
      <c r="G6" s="18" t="s">
        <v>10</v>
      </c>
      <c r="H6" s="18" t="s">
        <v>29</v>
      </c>
      <c r="I6" s="17" t="s">
        <v>15</v>
      </c>
      <c r="J6" s="17" t="s">
        <v>15</v>
      </c>
      <c r="K6" s="18"/>
      <c r="L6" s="18" t="s">
        <v>16</v>
      </c>
      <c r="M6" s="18" t="s">
        <v>17</v>
      </c>
      <c r="N6" s="18"/>
      <c r="O6" s="18" t="s">
        <v>10</v>
      </c>
      <c r="P6" s="18" t="s">
        <v>18</v>
      </c>
      <c r="Q6" s="18"/>
      <c r="R6" s="27" t="s">
        <v>19</v>
      </c>
      <c r="S6" s="18"/>
      <c r="T6" s="18"/>
      <c r="U6" s="28"/>
    </row>
    <row r="7" spans="1:31">
      <c r="A7" s="29" t="s">
        <v>20</v>
      </c>
      <c r="D7" s="14"/>
      <c r="E7" s="30"/>
      <c r="F7" s="30"/>
      <c r="G7" s="31"/>
      <c r="H7" s="31"/>
      <c r="I7" s="30"/>
      <c r="J7" s="30"/>
      <c r="K7" s="31"/>
      <c r="L7" s="31"/>
      <c r="M7" s="31"/>
      <c r="N7" s="31"/>
      <c r="O7" s="31"/>
      <c r="P7" s="31"/>
      <c r="Q7" s="31"/>
      <c r="R7" s="32"/>
      <c r="S7" s="31"/>
      <c r="T7" s="31"/>
      <c r="U7" s="33"/>
    </row>
    <row r="8" spans="1:31">
      <c r="A8" s="34" t="s">
        <v>21</v>
      </c>
      <c r="B8" s="34">
        <v>1</v>
      </c>
      <c r="C8" s="35" t="s">
        <v>22</v>
      </c>
      <c r="D8" s="72">
        <v>2000</v>
      </c>
      <c r="E8" s="73"/>
      <c r="F8" s="73">
        <f t="shared" ref="F8:F16" si="0">B8*D8</f>
        <v>2000</v>
      </c>
      <c r="G8" s="74">
        <f t="shared" ref="G8:G16" si="1">F8*15/I8</f>
        <v>6000</v>
      </c>
      <c r="H8" s="37">
        <v>2007</v>
      </c>
      <c r="I8" s="37">
        <v>5</v>
      </c>
      <c r="J8" s="38">
        <f t="shared" ref="J8:J16" si="2">H8+I8-$B$2</f>
        <v>-1</v>
      </c>
      <c r="K8" s="38"/>
      <c r="L8" s="74"/>
      <c r="M8" s="74"/>
      <c r="N8" s="74"/>
      <c r="O8" s="74"/>
      <c r="P8" s="74"/>
      <c r="Q8" s="37"/>
      <c r="R8" s="39" t="s">
        <v>34</v>
      </c>
      <c r="S8" s="37"/>
      <c r="T8" s="37"/>
      <c r="U8" s="40"/>
      <c r="V8" s="40"/>
      <c r="W8" s="40"/>
      <c r="X8" s="40"/>
      <c r="Y8" s="40"/>
      <c r="Z8" s="40"/>
      <c r="AA8" s="40"/>
      <c r="AB8" s="40"/>
      <c r="AC8" s="40"/>
      <c r="AD8" s="40"/>
      <c r="AE8" s="34"/>
    </row>
    <row r="9" spans="1:31">
      <c r="A9" s="34" t="s">
        <v>79</v>
      </c>
      <c r="B9" s="34">
        <v>15265</v>
      </c>
      <c r="C9" s="35" t="s">
        <v>51</v>
      </c>
      <c r="D9" s="85">
        <v>0.16</v>
      </c>
      <c r="E9" s="73"/>
      <c r="F9" s="73">
        <f t="shared" si="0"/>
        <v>2442.4</v>
      </c>
      <c r="G9" s="74">
        <f t="shared" si="1"/>
        <v>9159</v>
      </c>
      <c r="H9" s="37">
        <v>2004</v>
      </c>
      <c r="I9" s="38">
        <v>4</v>
      </c>
      <c r="J9" s="107">
        <f t="shared" si="2"/>
        <v>-5</v>
      </c>
      <c r="K9" s="38"/>
      <c r="L9" s="74"/>
      <c r="M9" s="74"/>
      <c r="N9" s="74"/>
      <c r="O9" s="74"/>
      <c r="P9" s="74"/>
      <c r="Q9" s="37"/>
      <c r="R9" s="106" t="s">
        <v>78</v>
      </c>
      <c r="S9" s="37"/>
      <c r="T9" s="37"/>
      <c r="U9" s="40"/>
      <c r="V9" s="40"/>
      <c r="W9" s="40"/>
      <c r="X9" s="40"/>
      <c r="Y9" s="40"/>
      <c r="Z9" s="40"/>
      <c r="AA9" s="40"/>
      <c r="AB9" s="40"/>
      <c r="AC9" s="40"/>
      <c r="AD9" s="40"/>
      <c r="AE9" s="34"/>
    </row>
    <row r="10" spans="1:31">
      <c r="A10" s="34" t="s">
        <v>80</v>
      </c>
      <c r="B10" s="34">
        <v>500</v>
      </c>
      <c r="C10" s="35" t="s">
        <v>81</v>
      </c>
      <c r="D10" s="85">
        <v>1</v>
      </c>
      <c r="E10" s="73"/>
      <c r="F10" s="73">
        <f>B10*D10</f>
        <v>500</v>
      </c>
      <c r="G10" s="74">
        <f>F10*15/I10</f>
        <v>3750</v>
      </c>
      <c r="H10" s="37">
        <v>2009</v>
      </c>
      <c r="I10" s="38">
        <v>2</v>
      </c>
      <c r="J10" s="107">
        <f>H10+I10-$B$2</f>
        <v>-2</v>
      </c>
      <c r="K10" s="38"/>
      <c r="L10" s="74"/>
      <c r="M10" s="74"/>
      <c r="N10" s="74"/>
      <c r="O10" s="74"/>
      <c r="P10" s="74"/>
      <c r="Q10" s="37"/>
      <c r="R10" s="106" t="s">
        <v>82</v>
      </c>
      <c r="S10" s="37"/>
      <c r="T10" s="37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4"/>
    </row>
    <row r="11" spans="1:31">
      <c r="A11" s="34" t="s">
        <v>74</v>
      </c>
      <c r="B11" s="34">
        <v>15265</v>
      </c>
      <c r="C11" s="35" t="s">
        <v>51</v>
      </c>
      <c r="D11" s="85">
        <v>2</v>
      </c>
      <c r="E11" s="73"/>
      <c r="F11" s="73">
        <f t="shared" si="0"/>
        <v>30530</v>
      </c>
      <c r="G11" s="74">
        <f t="shared" si="1"/>
        <v>22897.5</v>
      </c>
      <c r="H11" s="38">
        <v>1994</v>
      </c>
      <c r="I11" s="37">
        <v>20</v>
      </c>
      <c r="J11" s="38">
        <f t="shared" si="2"/>
        <v>1</v>
      </c>
      <c r="K11" s="38"/>
      <c r="L11" s="74"/>
      <c r="M11" s="74"/>
      <c r="N11" s="74"/>
      <c r="O11" s="74"/>
      <c r="P11" s="74"/>
      <c r="Q11" s="37"/>
      <c r="R11" s="39"/>
      <c r="S11" s="37"/>
      <c r="T11" s="37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34"/>
    </row>
    <row r="12" spans="1:31">
      <c r="A12" s="34" t="s">
        <v>38</v>
      </c>
      <c r="B12" s="34">
        <v>702</v>
      </c>
      <c r="C12" s="35" t="s">
        <v>51</v>
      </c>
      <c r="D12" s="85">
        <v>1.35</v>
      </c>
      <c r="E12" s="73"/>
      <c r="F12" s="73">
        <f>B12*D12</f>
        <v>947.7</v>
      </c>
      <c r="G12" s="74">
        <f>F12*15/I12</f>
        <v>710.77499999999998</v>
      </c>
      <c r="H12" s="38">
        <v>1994</v>
      </c>
      <c r="I12" s="37">
        <v>20</v>
      </c>
      <c r="J12" s="38">
        <f t="shared" si="2"/>
        <v>1</v>
      </c>
      <c r="K12" s="38"/>
      <c r="L12" s="74"/>
      <c r="M12" s="74"/>
      <c r="N12" s="74"/>
      <c r="O12" s="74"/>
      <c r="P12" s="74"/>
      <c r="Q12" s="37"/>
      <c r="R12" s="39"/>
      <c r="S12" s="37"/>
      <c r="T12" s="37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34"/>
    </row>
    <row r="13" spans="1:31">
      <c r="A13" s="34" t="s">
        <v>48</v>
      </c>
      <c r="B13" s="34">
        <v>1200</v>
      </c>
      <c r="C13" s="35" t="s">
        <v>51</v>
      </c>
      <c r="D13" s="85">
        <v>1</v>
      </c>
      <c r="E13" s="73"/>
      <c r="F13" s="73">
        <f>B13*D13</f>
        <v>1200</v>
      </c>
      <c r="G13" s="98">
        <f>F13*15/I13</f>
        <v>1800</v>
      </c>
      <c r="H13" s="38">
        <v>2005</v>
      </c>
      <c r="I13" s="37">
        <v>10</v>
      </c>
      <c r="J13" s="38">
        <f t="shared" si="2"/>
        <v>2</v>
      </c>
      <c r="K13" s="38"/>
      <c r="L13" s="74"/>
      <c r="M13" s="74"/>
      <c r="N13" s="74"/>
      <c r="O13" s="74"/>
      <c r="P13" s="74"/>
      <c r="Q13" s="37"/>
      <c r="R13" s="39"/>
      <c r="S13" s="37"/>
      <c r="T13" s="37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34"/>
    </row>
    <row r="14" spans="1:31">
      <c r="A14" s="34" t="s">
        <v>49</v>
      </c>
      <c r="B14" s="34">
        <v>1</v>
      </c>
      <c r="C14" s="35" t="s">
        <v>22</v>
      </c>
      <c r="D14" s="72">
        <v>5000</v>
      </c>
      <c r="E14" s="73"/>
      <c r="F14" s="73">
        <f>B14*D14</f>
        <v>5000</v>
      </c>
      <c r="G14" s="74">
        <f>F14*15/I14</f>
        <v>2500</v>
      </c>
      <c r="H14" s="38">
        <v>1994</v>
      </c>
      <c r="I14" s="37">
        <v>30</v>
      </c>
      <c r="J14" s="38">
        <f t="shared" si="2"/>
        <v>11</v>
      </c>
      <c r="K14" s="38"/>
      <c r="L14" s="74"/>
      <c r="M14" s="74"/>
      <c r="N14" s="74"/>
      <c r="O14" s="74"/>
      <c r="P14" s="74"/>
      <c r="Q14" s="37"/>
      <c r="R14" s="39"/>
      <c r="S14" s="37"/>
      <c r="T14" s="37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34"/>
    </row>
    <row r="15" spans="1:31">
      <c r="A15" s="34" t="s">
        <v>50</v>
      </c>
      <c r="B15" s="34">
        <v>1</v>
      </c>
      <c r="C15" s="35" t="s">
        <v>22</v>
      </c>
      <c r="D15" s="72">
        <v>5000</v>
      </c>
      <c r="E15" s="73"/>
      <c r="F15" s="73">
        <f>B15*D15</f>
        <v>5000</v>
      </c>
      <c r="G15" s="74">
        <f>F15*15/I15</f>
        <v>2500</v>
      </c>
      <c r="H15" s="38">
        <v>1994</v>
      </c>
      <c r="I15" s="37">
        <v>30</v>
      </c>
      <c r="J15" s="38">
        <f t="shared" si="2"/>
        <v>11</v>
      </c>
      <c r="K15" s="38"/>
      <c r="L15" s="74"/>
      <c r="M15" s="74"/>
      <c r="N15" s="74"/>
      <c r="O15" s="74"/>
      <c r="P15" s="74"/>
      <c r="Q15" s="37"/>
      <c r="R15" s="39"/>
      <c r="S15" s="37"/>
      <c r="T15" s="37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34"/>
    </row>
    <row r="16" spans="1:31">
      <c r="A16" s="34" t="s">
        <v>24</v>
      </c>
      <c r="B16" s="34">
        <v>1</v>
      </c>
      <c r="C16" s="35" t="s">
        <v>22</v>
      </c>
      <c r="D16" s="72">
        <v>5000</v>
      </c>
      <c r="E16" s="73"/>
      <c r="F16" s="73">
        <f t="shared" si="0"/>
        <v>5000</v>
      </c>
      <c r="G16" s="74">
        <f t="shared" si="1"/>
        <v>3750</v>
      </c>
      <c r="H16" s="38">
        <v>1994</v>
      </c>
      <c r="I16" s="37">
        <v>20</v>
      </c>
      <c r="J16" s="38">
        <f t="shared" si="2"/>
        <v>1</v>
      </c>
      <c r="K16" s="38"/>
      <c r="L16" s="74"/>
      <c r="M16" s="74"/>
      <c r="N16" s="74"/>
      <c r="O16" s="74"/>
      <c r="P16" s="74"/>
      <c r="Q16" s="37"/>
      <c r="R16" s="39" t="s">
        <v>33</v>
      </c>
      <c r="S16" s="37"/>
      <c r="T16" s="37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34"/>
    </row>
    <row r="17" spans="1:31">
      <c r="A17" s="42" t="s">
        <v>25</v>
      </c>
      <c r="B17" s="34"/>
      <c r="C17" s="35"/>
      <c r="D17" s="72"/>
      <c r="E17" s="74"/>
      <c r="F17" s="73"/>
      <c r="G17" s="75">
        <f>SUM(G8:G16)</f>
        <v>53067.275000000001</v>
      </c>
      <c r="H17" s="38"/>
      <c r="I17" s="38"/>
      <c r="J17" s="38"/>
      <c r="K17" s="38"/>
      <c r="L17" s="75"/>
      <c r="M17" s="74"/>
      <c r="N17" s="74"/>
      <c r="O17" s="74"/>
      <c r="P17" s="74"/>
      <c r="Q17" s="38"/>
      <c r="R17" s="41"/>
      <c r="S17" s="38"/>
      <c r="T17" s="38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34"/>
    </row>
    <row r="18" spans="1:31" s="15" customFormat="1">
      <c r="A18" s="16"/>
      <c r="B18" s="16"/>
      <c r="C18" s="43"/>
      <c r="D18" s="76"/>
      <c r="E18" s="77"/>
      <c r="F18" s="77"/>
      <c r="G18" s="78"/>
      <c r="H18" s="45"/>
      <c r="I18" s="44"/>
      <c r="J18" s="44"/>
      <c r="K18" s="45"/>
      <c r="L18" s="78"/>
      <c r="M18" s="78"/>
      <c r="N18" s="78"/>
      <c r="O18" s="78"/>
      <c r="P18" s="78"/>
      <c r="Q18" s="44"/>
      <c r="R18" s="46"/>
      <c r="S18" s="44"/>
      <c r="T18" s="44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16"/>
    </row>
    <row r="19" spans="1:31" s="96" customFormat="1">
      <c r="A19" s="29" t="s">
        <v>35</v>
      </c>
      <c r="B19" s="87"/>
      <c r="C19" s="88"/>
      <c r="D19" s="89"/>
      <c r="E19" s="90"/>
      <c r="F19" s="90"/>
      <c r="G19" s="91"/>
      <c r="H19" s="92"/>
      <c r="I19" s="93"/>
      <c r="J19" s="93"/>
      <c r="K19" s="92"/>
      <c r="L19" s="91"/>
      <c r="M19" s="91"/>
      <c r="N19" s="91"/>
      <c r="O19" s="91"/>
      <c r="P19" s="91"/>
      <c r="Q19" s="93"/>
      <c r="R19" s="94"/>
      <c r="S19" s="93"/>
      <c r="T19" s="93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87"/>
    </row>
    <row r="20" spans="1:31">
      <c r="A20" s="34" t="s">
        <v>66</v>
      </c>
      <c r="B20" s="34">
        <v>12000</v>
      </c>
      <c r="C20" s="35" t="s">
        <v>51</v>
      </c>
      <c r="D20" s="85">
        <v>0.4</v>
      </c>
      <c r="E20" s="74"/>
      <c r="F20" s="73">
        <f t="shared" ref="F20:F25" si="3">B20*D20</f>
        <v>4800</v>
      </c>
      <c r="G20" s="74">
        <f t="shared" ref="G20:G25" si="4">F20*15/I20</f>
        <v>7200</v>
      </c>
      <c r="H20" s="38">
        <v>2004</v>
      </c>
      <c r="I20" s="38">
        <v>10</v>
      </c>
      <c r="J20" s="38">
        <f t="shared" ref="J20:J25" si="5">H20+I20-$B$2</f>
        <v>1</v>
      </c>
      <c r="K20" s="38"/>
      <c r="L20" s="74">
        <f>G20/G29*B45</f>
        <v>900.51015405528346</v>
      </c>
      <c r="M20" s="74">
        <f t="shared" ref="M20:M25" si="6">G20-L20</f>
        <v>6299.4898459447168</v>
      </c>
      <c r="N20" s="74"/>
      <c r="O20" s="74">
        <f t="shared" ref="O20:O25" si="7">M20/15</f>
        <v>419.96598972964779</v>
      </c>
      <c r="P20" s="74">
        <f>G20/G29*B49</f>
        <v>212.46102530386477</v>
      </c>
      <c r="Q20" s="38"/>
      <c r="R20" s="39" t="s">
        <v>39</v>
      </c>
      <c r="S20" s="38"/>
      <c r="T20" s="38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34"/>
    </row>
    <row r="21" spans="1:31">
      <c r="A21" s="34" t="s">
        <v>67</v>
      </c>
      <c r="B21" s="34">
        <v>16400</v>
      </c>
      <c r="C21" s="35" t="s">
        <v>51</v>
      </c>
      <c r="D21" s="85">
        <v>0.05</v>
      </c>
      <c r="E21" s="74"/>
      <c r="F21" s="73">
        <f t="shared" si="3"/>
        <v>820</v>
      </c>
      <c r="G21" s="74">
        <f t="shared" si="4"/>
        <v>4100</v>
      </c>
      <c r="H21" s="38">
        <v>2009</v>
      </c>
      <c r="I21" s="38">
        <v>3</v>
      </c>
      <c r="J21" s="38">
        <f t="shared" si="5"/>
        <v>-1</v>
      </c>
      <c r="K21" s="38"/>
      <c r="L21" s="74">
        <f>G21/G29*B45</f>
        <v>512.79050439259197</v>
      </c>
      <c r="M21" s="74">
        <f t="shared" si="6"/>
        <v>3587.2094956074079</v>
      </c>
      <c r="N21" s="74"/>
      <c r="O21" s="74">
        <f t="shared" si="7"/>
        <v>239.14729970716053</v>
      </c>
      <c r="P21" s="74">
        <f>G21/G29*B49</f>
        <v>120.98475052025631</v>
      </c>
      <c r="Q21" s="38"/>
      <c r="R21" s="41"/>
      <c r="S21" s="38"/>
      <c r="T21" s="38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34"/>
    </row>
    <row r="22" spans="1:31">
      <c r="A22" s="34" t="s">
        <v>41</v>
      </c>
      <c r="B22" s="34">
        <v>23760</v>
      </c>
      <c r="C22" s="35" t="s">
        <v>23</v>
      </c>
      <c r="D22" s="85">
        <v>0.25</v>
      </c>
      <c r="E22" s="73"/>
      <c r="F22" s="73">
        <f t="shared" si="3"/>
        <v>5940</v>
      </c>
      <c r="G22" s="74">
        <f t="shared" si="4"/>
        <v>22275</v>
      </c>
      <c r="H22" s="38">
        <v>2005</v>
      </c>
      <c r="I22" s="37">
        <v>4</v>
      </c>
      <c r="J22" s="107">
        <f t="shared" si="5"/>
        <v>-4</v>
      </c>
      <c r="K22" s="38"/>
      <c r="L22" s="74">
        <f>G22/G29*B45</f>
        <v>2785.9532891085332</v>
      </c>
      <c r="M22" s="74">
        <f t="shared" si="6"/>
        <v>19489.046710891467</v>
      </c>
      <c r="N22" s="74"/>
      <c r="O22" s="74">
        <f t="shared" si="7"/>
        <v>1299.2697807260979</v>
      </c>
      <c r="P22" s="74">
        <f>G22/G29*B49</f>
        <v>657.30129703383159</v>
      </c>
      <c r="Q22" s="37"/>
      <c r="R22" s="39" t="s">
        <v>42</v>
      </c>
      <c r="S22" s="37"/>
      <c r="T22" s="37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34"/>
    </row>
    <row r="23" spans="1:31">
      <c r="A23" s="34" t="s">
        <v>40</v>
      </c>
      <c r="B23" s="34">
        <v>23760</v>
      </c>
      <c r="C23" s="35" t="s">
        <v>23</v>
      </c>
      <c r="D23" s="85">
        <v>1</v>
      </c>
      <c r="E23" s="73"/>
      <c r="F23" s="73">
        <f t="shared" si="3"/>
        <v>23760</v>
      </c>
      <c r="G23" s="74">
        <f t="shared" si="4"/>
        <v>11880</v>
      </c>
      <c r="H23" s="38">
        <v>1994</v>
      </c>
      <c r="I23" s="37">
        <v>30</v>
      </c>
      <c r="J23" s="38">
        <f t="shared" si="5"/>
        <v>11</v>
      </c>
      <c r="K23" s="38"/>
      <c r="L23" s="74">
        <f>G23/G29*B45</f>
        <v>1485.8417541912177</v>
      </c>
      <c r="M23" s="74">
        <f t="shared" si="6"/>
        <v>10394.158245808783</v>
      </c>
      <c r="N23" s="74"/>
      <c r="O23" s="74">
        <f t="shared" si="7"/>
        <v>692.94388305391885</v>
      </c>
      <c r="P23" s="74">
        <f>G23/G29*B49</f>
        <v>350.56069175137685</v>
      </c>
      <c r="Q23" s="37"/>
      <c r="R23" s="39" t="s">
        <v>42</v>
      </c>
      <c r="S23" s="37"/>
      <c r="T23" s="37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34"/>
    </row>
    <row r="24" spans="1:31">
      <c r="A24" s="34" t="s">
        <v>43</v>
      </c>
      <c r="B24" s="34">
        <v>3500</v>
      </c>
      <c r="C24" s="35" t="s">
        <v>47</v>
      </c>
      <c r="D24" s="85">
        <v>2</v>
      </c>
      <c r="E24" s="73"/>
      <c r="F24" s="73">
        <f t="shared" si="3"/>
        <v>7000</v>
      </c>
      <c r="G24" s="74">
        <f t="shared" si="4"/>
        <v>10500</v>
      </c>
      <c r="H24" s="38">
        <v>2005</v>
      </c>
      <c r="I24" s="37">
        <v>10</v>
      </c>
      <c r="J24" s="38">
        <f t="shared" si="5"/>
        <v>2</v>
      </c>
      <c r="K24" s="38"/>
      <c r="L24" s="74">
        <f>G24/G29*B45</f>
        <v>1313.2439746639552</v>
      </c>
      <c r="M24" s="74">
        <f t="shared" si="6"/>
        <v>9186.7560253360443</v>
      </c>
      <c r="N24" s="74"/>
      <c r="O24" s="74">
        <f t="shared" si="7"/>
        <v>612.45040168906962</v>
      </c>
      <c r="P24" s="74">
        <f>G24/G29*B49</f>
        <v>309.83899523480278</v>
      </c>
      <c r="Q24" s="37"/>
      <c r="R24" s="39" t="s">
        <v>44</v>
      </c>
      <c r="S24" s="37"/>
      <c r="T24" s="37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34"/>
    </row>
    <row r="25" spans="1:31">
      <c r="A25" s="34" t="s">
        <v>45</v>
      </c>
      <c r="B25" s="34">
        <v>10</v>
      </c>
      <c r="C25" s="35" t="s">
        <v>22</v>
      </c>
      <c r="D25" s="72">
        <v>2200</v>
      </c>
      <c r="E25" s="73"/>
      <c r="F25" s="73">
        <f t="shared" si="3"/>
        <v>22000</v>
      </c>
      <c r="G25" s="74">
        <f t="shared" si="4"/>
        <v>22000</v>
      </c>
      <c r="H25" s="38">
        <v>2008</v>
      </c>
      <c r="I25" s="38">
        <v>15</v>
      </c>
      <c r="J25" s="38">
        <f t="shared" si="5"/>
        <v>10</v>
      </c>
      <c r="K25" s="38"/>
      <c r="L25" s="74">
        <f>G25/G29*B45</f>
        <v>2751.5588040578104</v>
      </c>
      <c r="M25" s="74">
        <f t="shared" si="6"/>
        <v>19248.441195942189</v>
      </c>
      <c r="N25" s="74"/>
      <c r="O25" s="74">
        <f t="shared" si="7"/>
        <v>1283.2294130628127</v>
      </c>
      <c r="P25" s="74">
        <f>G25/G29*B49</f>
        <v>649.1864662062535</v>
      </c>
      <c r="Q25" s="37"/>
      <c r="R25" s="39" t="s">
        <v>46</v>
      </c>
      <c r="S25" s="37"/>
      <c r="T25" s="37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34"/>
    </row>
    <row r="26" spans="1:31">
      <c r="A26" s="34" t="s">
        <v>55</v>
      </c>
      <c r="B26" s="34">
        <v>183</v>
      </c>
      <c r="C26" s="35" t="s">
        <v>26</v>
      </c>
      <c r="D26" s="85">
        <v>10</v>
      </c>
      <c r="E26" s="73"/>
      <c r="F26" s="73">
        <f>B26*D26</f>
        <v>1830</v>
      </c>
      <c r="G26" s="74">
        <f>F26*15/I26</f>
        <v>5490</v>
      </c>
      <c r="H26" s="38">
        <v>2007</v>
      </c>
      <c r="I26" s="37">
        <v>5</v>
      </c>
      <c r="J26" s="38">
        <f>H26+I26-$B$2</f>
        <v>-1</v>
      </c>
      <c r="K26" s="38"/>
      <c r="L26" s="74">
        <f>G26/G29*B45</f>
        <v>686.63899246715368</v>
      </c>
      <c r="M26" s="74">
        <f>G26-L26</f>
        <v>4803.3610075328461</v>
      </c>
      <c r="N26" s="74"/>
      <c r="O26" s="74">
        <f>M26/15</f>
        <v>320.22406716885638</v>
      </c>
      <c r="P26" s="74">
        <f>G26/G29*B49</f>
        <v>162.00153179419689</v>
      </c>
      <c r="Q26" s="37"/>
      <c r="R26" s="39"/>
      <c r="S26" s="37"/>
      <c r="T26" s="37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34"/>
    </row>
    <row r="27" spans="1:31">
      <c r="A27" s="34" t="s">
        <v>56</v>
      </c>
      <c r="B27" s="34">
        <v>183</v>
      </c>
      <c r="C27" s="35" t="s">
        <v>26</v>
      </c>
      <c r="D27" s="72">
        <v>1253</v>
      </c>
      <c r="E27" s="73"/>
      <c r="F27" s="73">
        <f>B27*D27</f>
        <v>229299</v>
      </c>
      <c r="G27" s="74">
        <f>F27*15/I27</f>
        <v>114649.5</v>
      </c>
      <c r="H27" s="38">
        <v>1994</v>
      </c>
      <c r="I27" s="37">
        <v>30</v>
      </c>
      <c r="J27" s="38">
        <f>H27+I27-$B$2</f>
        <v>11</v>
      </c>
      <c r="K27" s="38"/>
      <c r="L27" s="74">
        <f>G27/G29*B45</f>
        <v>14339.310959355726</v>
      </c>
      <c r="M27" s="74">
        <f>G27-L27</f>
        <v>100310.18904064427</v>
      </c>
      <c r="N27" s="74"/>
      <c r="O27" s="74">
        <f>M27/15</f>
        <v>6687.3459360429515</v>
      </c>
      <c r="P27" s="74">
        <f>G27/G29*B49</f>
        <v>3383.1319889688116</v>
      </c>
      <c r="Q27" s="37"/>
      <c r="R27" s="39" t="s">
        <v>57</v>
      </c>
      <c r="S27" s="37"/>
      <c r="T27" s="37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34"/>
    </row>
    <row r="28" spans="1:31">
      <c r="A28" s="34" t="s">
        <v>58</v>
      </c>
      <c r="B28" s="34"/>
      <c r="C28" s="35"/>
      <c r="D28" s="72"/>
      <c r="E28" s="73"/>
      <c r="F28" s="73"/>
      <c r="G28" s="74">
        <f>G17*0.865</f>
        <v>45903.192875000001</v>
      </c>
      <c r="H28" s="38"/>
      <c r="I28" s="37"/>
      <c r="J28" s="37"/>
      <c r="K28" s="38"/>
      <c r="L28" s="74">
        <f>G28/G29*B45</f>
        <v>5741.1515677077286</v>
      </c>
      <c r="M28" s="74">
        <f>G28-L28</f>
        <v>40162.041307292275</v>
      </c>
      <c r="N28" s="74"/>
      <c r="O28" s="74">
        <f>M28/15</f>
        <v>2677.4694204861516</v>
      </c>
      <c r="P28" s="74">
        <f>G28/G29*B49</f>
        <v>1354.5332531866056</v>
      </c>
      <c r="Q28" s="37"/>
      <c r="R28" s="39"/>
      <c r="S28" s="37"/>
      <c r="T28" s="37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34"/>
    </row>
    <row r="29" spans="1:31">
      <c r="A29" s="42" t="s">
        <v>27</v>
      </c>
      <c r="B29" s="34"/>
      <c r="C29" s="35"/>
      <c r="D29" s="72"/>
      <c r="E29" s="73"/>
      <c r="F29" s="73"/>
      <c r="G29" s="75">
        <f>SUM(G20:G28)</f>
        <v>243997.69287500001</v>
      </c>
      <c r="H29" s="38"/>
      <c r="I29" s="37"/>
      <c r="J29" s="37"/>
      <c r="K29" s="38"/>
      <c r="L29" s="75">
        <f>SUM(L20:L28)</f>
        <v>30516.999999999996</v>
      </c>
      <c r="M29" s="74"/>
      <c r="N29" s="74"/>
      <c r="O29" s="82">
        <f>SUM(O20:O28)</f>
        <v>14232.046191666666</v>
      </c>
      <c r="P29" s="82">
        <f>SUM(P20:P28)+B53</f>
        <v>7200</v>
      </c>
      <c r="Q29" s="37"/>
      <c r="R29" s="83" t="str">
        <f>IF(O29&gt;P29,"** Requires Dues Increase (per unit per mnth","NO Dues increase required")</f>
        <v>** Requires Dues Increase (per unit per mnth</v>
      </c>
      <c r="S29" s="84">
        <f>IF(((O29-P29)/12/10)&gt;0,((O29-P29)/12/10),"")</f>
        <v>58.600384930555549</v>
      </c>
      <c r="T29" s="37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34"/>
    </row>
    <row r="30" spans="1:31" s="15" customFormat="1">
      <c r="A30" s="16"/>
      <c r="B30" s="16"/>
      <c r="C30" s="43"/>
      <c r="D30" s="76"/>
      <c r="E30" s="77"/>
      <c r="F30" s="77"/>
      <c r="G30" s="78"/>
      <c r="H30" s="45"/>
      <c r="I30" s="44"/>
      <c r="J30" s="44"/>
      <c r="K30" s="45"/>
      <c r="L30" s="78"/>
      <c r="M30" s="78"/>
      <c r="N30" s="78"/>
      <c r="O30" s="78"/>
      <c r="P30" s="78"/>
      <c r="Q30" s="44"/>
      <c r="R30" s="99" t="s">
        <v>62</v>
      </c>
      <c r="S30" s="100">
        <f>P29/O29</f>
        <v>0.5059005502817886</v>
      </c>
      <c r="T30" s="44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16"/>
    </row>
    <row r="31" spans="1:31" s="96" customFormat="1">
      <c r="A31" s="29" t="s">
        <v>59</v>
      </c>
      <c r="B31" s="87"/>
      <c r="C31" s="88"/>
      <c r="D31" s="89"/>
      <c r="E31" s="90"/>
      <c r="F31" s="90"/>
      <c r="G31" s="91"/>
      <c r="H31" s="92"/>
      <c r="I31" s="93"/>
      <c r="J31" s="93"/>
      <c r="K31" s="92"/>
      <c r="L31" s="91"/>
      <c r="M31" s="91"/>
      <c r="N31" s="91"/>
      <c r="O31" s="91"/>
      <c r="P31" s="91"/>
      <c r="Q31" s="93"/>
      <c r="R31" s="94"/>
      <c r="S31" s="93"/>
      <c r="T31" s="93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87"/>
    </row>
    <row r="32" spans="1:31">
      <c r="A32" s="34" t="s">
        <v>66</v>
      </c>
      <c r="B32" s="34">
        <v>2506</v>
      </c>
      <c r="C32" s="35" t="s">
        <v>51</v>
      </c>
      <c r="D32" s="85">
        <f>D20</f>
        <v>0.4</v>
      </c>
      <c r="E32" s="74"/>
      <c r="F32" s="73">
        <f t="shared" ref="F32:F39" si="8">B32*D32</f>
        <v>1002.4000000000001</v>
      </c>
      <c r="G32" s="74">
        <f t="shared" ref="G32:G39" si="9">F32*15/I32</f>
        <v>1503.6000000000001</v>
      </c>
      <c r="H32" s="38">
        <v>2004</v>
      </c>
      <c r="I32" s="38">
        <v>10</v>
      </c>
      <c r="J32" s="38">
        <f t="shared" ref="J32:J39" si="10">H32+I32-$B$2</f>
        <v>1</v>
      </c>
      <c r="K32" s="38"/>
      <c r="L32" s="74">
        <f>G32/G41*B46</f>
        <v>192.18884773643896</v>
      </c>
      <c r="M32" s="74">
        <f t="shared" ref="M32:M40" si="11">G32-L32</f>
        <v>1311.4111522635612</v>
      </c>
      <c r="N32" s="74"/>
      <c r="O32" s="74">
        <f t="shared" ref="O32:O40" si="12">M32/15</f>
        <v>87.42741015090408</v>
      </c>
      <c r="P32" s="74">
        <f>G32/G41*B50</f>
        <v>45.753575654552115</v>
      </c>
      <c r="Q32" s="38"/>
      <c r="R32" s="39"/>
      <c r="S32" s="38"/>
      <c r="T32" s="38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4"/>
    </row>
    <row r="33" spans="1:31">
      <c r="A33" s="34" t="s">
        <v>67</v>
      </c>
      <c r="B33" s="34">
        <v>3553</v>
      </c>
      <c r="C33" s="35" t="s">
        <v>51</v>
      </c>
      <c r="D33" s="85">
        <f>D21</f>
        <v>0.05</v>
      </c>
      <c r="E33" s="74"/>
      <c r="F33" s="73">
        <f>B33*D33</f>
        <v>177.65</v>
      </c>
      <c r="G33" s="74">
        <f>F33*15/I33</f>
        <v>888.25</v>
      </c>
      <c r="H33" s="38">
        <v>2009</v>
      </c>
      <c r="I33" s="38">
        <v>3</v>
      </c>
      <c r="J33" s="38">
        <f>H33+I33-$B$2</f>
        <v>-1</v>
      </c>
      <c r="K33" s="38"/>
      <c r="L33" s="74">
        <f>G33/G41*B46</f>
        <v>113.53534450777595</v>
      </c>
      <c r="M33" s="74">
        <f>G33-L33</f>
        <v>774.7146554922241</v>
      </c>
      <c r="N33" s="74"/>
      <c r="O33" s="74">
        <f>M33/15</f>
        <v>51.647643699481605</v>
      </c>
      <c r="P33" s="74">
        <f>G33/G41*B50</f>
        <v>27.028873088026018</v>
      </c>
      <c r="Q33" s="38"/>
      <c r="R33" s="39" t="s">
        <v>83</v>
      </c>
      <c r="S33" s="38"/>
      <c r="T33" s="38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34"/>
    </row>
    <row r="34" spans="1:31">
      <c r="A34" s="34" t="s">
        <v>41</v>
      </c>
      <c r="B34" s="34">
        <v>3708</v>
      </c>
      <c r="C34" s="35" t="s">
        <v>23</v>
      </c>
      <c r="D34" s="85">
        <f>D22</f>
        <v>0.25</v>
      </c>
      <c r="E34" s="74"/>
      <c r="F34" s="73">
        <f>B34*D34</f>
        <v>927</v>
      </c>
      <c r="G34" s="74">
        <f>F34*15/I34</f>
        <v>3476.25</v>
      </c>
      <c r="H34" s="38">
        <v>2005</v>
      </c>
      <c r="I34" s="38">
        <v>4</v>
      </c>
      <c r="J34" s="107">
        <f>H34+I34-$B$2</f>
        <v>-4</v>
      </c>
      <c r="K34" s="38"/>
      <c r="L34" s="74">
        <f>G34/G41*B46</f>
        <v>444.33125960614257</v>
      </c>
      <c r="M34" s="74">
        <f>G34-L34</f>
        <v>3031.9187403938577</v>
      </c>
      <c r="N34" s="74"/>
      <c r="O34" s="74">
        <f>M34/15</f>
        <v>202.12791602625717</v>
      </c>
      <c r="P34" s="74">
        <f>G34/G41*B50</f>
        <v>105.78003948466133</v>
      </c>
      <c r="Q34" s="38"/>
      <c r="R34" s="39" t="s">
        <v>42</v>
      </c>
      <c r="S34" s="38"/>
      <c r="T34" s="38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34"/>
    </row>
    <row r="35" spans="1:31">
      <c r="A35" s="34" t="s">
        <v>40</v>
      </c>
      <c r="B35" s="34">
        <v>3708</v>
      </c>
      <c r="C35" s="35" t="s">
        <v>23</v>
      </c>
      <c r="D35" s="85">
        <f>D23</f>
        <v>1</v>
      </c>
      <c r="E35" s="74"/>
      <c r="F35" s="73">
        <f>B35*D35</f>
        <v>3708</v>
      </c>
      <c r="G35" s="74">
        <f>F35*15/I35</f>
        <v>1854</v>
      </c>
      <c r="H35" s="38">
        <v>1994</v>
      </c>
      <c r="I35" s="38">
        <v>30</v>
      </c>
      <c r="J35" s="38">
        <f>H35+I35-$B$2</f>
        <v>11</v>
      </c>
      <c r="K35" s="38"/>
      <c r="L35" s="74">
        <f>G35/G41*B46</f>
        <v>236.97667178994269</v>
      </c>
      <c r="M35" s="74">
        <f>G35-L35</f>
        <v>1617.0233282100573</v>
      </c>
      <c r="N35" s="74"/>
      <c r="O35" s="74">
        <f>M35/15</f>
        <v>107.80155521400383</v>
      </c>
      <c r="P35" s="74">
        <f>G35/G41*B50</f>
        <v>56.416021058486045</v>
      </c>
      <c r="Q35" s="38"/>
      <c r="R35" s="39" t="s">
        <v>42</v>
      </c>
      <c r="S35" s="38"/>
      <c r="T35" s="38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4"/>
    </row>
    <row r="36" spans="1:31">
      <c r="A36" s="34" t="s">
        <v>43</v>
      </c>
      <c r="B36" s="34">
        <v>500</v>
      </c>
      <c r="C36" s="35" t="s">
        <v>47</v>
      </c>
      <c r="D36" s="85">
        <f>D24</f>
        <v>2</v>
      </c>
      <c r="E36" s="74"/>
      <c r="F36" s="73">
        <f t="shared" si="8"/>
        <v>1000</v>
      </c>
      <c r="G36" s="74">
        <f t="shared" si="9"/>
        <v>1500</v>
      </c>
      <c r="H36" s="38">
        <v>2005</v>
      </c>
      <c r="I36" s="38">
        <v>10</v>
      </c>
      <c r="J36" s="38">
        <f t="shared" si="10"/>
        <v>2</v>
      </c>
      <c r="K36" s="38"/>
      <c r="L36" s="74">
        <f>G36/G41*B46</f>
        <v>191.72869885917692</v>
      </c>
      <c r="M36" s="74">
        <f t="shared" si="11"/>
        <v>1308.2713011408232</v>
      </c>
      <c r="N36" s="74"/>
      <c r="O36" s="74">
        <f t="shared" si="12"/>
        <v>87.218086742721553</v>
      </c>
      <c r="P36" s="74">
        <f>G36/G41*B50</f>
        <v>45.644029982593885</v>
      </c>
      <c r="Q36" s="38"/>
      <c r="R36" s="39" t="s">
        <v>44</v>
      </c>
      <c r="S36" s="38"/>
      <c r="T36" s="38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34"/>
    </row>
    <row r="37" spans="1:31">
      <c r="A37" s="34" t="s">
        <v>45</v>
      </c>
      <c r="B37" s="34">
        <v>1</v>
      </c>
      <c r="C37" s="35" t="s">
        <v>22</v>
      </c>
      <c r="D37" s="72">
        <v>2200</v>
      </c>
      <c r="E37" s="73"/>
      <c r="F37" s="73">
        <f t="shared" si="8"/>
        <v>2200</v>
      </c>
      <c r="G37" s="74">
        <f t="shared" si="9"/>
        <v>2200</v>
      </c>
      <c r="H37" s="38">
        <v>1994</v>
      </c>
      <c r="I37" s="37">
        <v>15</v>
      </c>
      <c r="J37" s="107">
        <f t="shared" si="10"/>
        <v>-4</v>
      </c>
      <c r="K37" s="38"/>
      <c r="L37" s="74">
        <f>G37/G41*B46</f>
        <v>281.2020916601262</v>
      </c>
      <c r="M37" s="74">
        <f t="shared" si="11"/>
        <v>1918.7979083398739</v>
      </c>
      <c r="N37" s="74"/>
      <c r="O37" s="74">
        <f t="shared" si="12"/>
        <v>127.91986055599159</v>
      </c>
      <c r="P37" s="74">
        <f>G37/G41*B50</f>
        <v>66.944577307804366</v>
      </c>
      <c r="Q37" s="37"/>
      <c r="R37" s="39"/>
      <c r="S37" s="37"/>
      <c r="T37" s="37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34"/>
    </row>
    <row r="38" spans="1:31">
      <c r="A38" s="34" t="s">
        <v>55</v>
      </c>
      <c r="B38" s="34">
        <v>48</v>
      </c>
      <c r="C38" s="35" t="s">
        <v>26</v>
      </c>
      <c r="D38" s="85">
        <f>D26</f>
        <v>10</v>
      </c>
      <c r="E38" s="73"/>
      <c r="F38" s="73">
        <f t="shared" si="8"/>
        <v>480</v>
      </c>
      <c r="G38" s="74">
        <f t="shared" si="9"/>
        <v>1440</v>
      </c>
      <c r="H38" s="38">
        <v>2007</v>
      </c>
      <c r="I38" s="37">
        <v>5</v>
      </c>
      <c r="J38" s="38">
        <f t="shared" si="10"/>
        <v>-1</v>
      </c>
      <c r="K38" s="38"/>
      <c r="L38" s="74">
        <f>G38/G41*B46</f>
        <v>184.05955090480984</v>
      </c>
      <c r="M38" s="74">
        <f t="shared" si="11"/>
        <v>1255.9404490951902</v>
      </c>
      <c r="N38" s="74"/>
      <c r="O38" s="74">
        <f t="shared" si="12"/>
        <v>83.72936327301268</v>
      </c>
      <c r="P38" s="74">
        <f>G38/G41*B50</f>
        <v>43.818268783290129</v>
      </c>
      <c r="Q38" s="37"/>
      <c r="R38" s="39"/>
      <c r="S38" s="37"/>
      <c r="T38" s="37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34"/>
    </row>
    <row r="39" spans="1:31">
      <c r="A39" s="34" t="s">
        <v>56</v>
      </c>
      <c r="B39" s="34">
        <v>48</v>
      </c>
      <c r="C39" s="35" t="s">
        <v>26</v>
      </c>
      <c r="D39" s="72">
        <v>743</v>
      </c>
      <c r="E39" s="73"/>
      <c r="F39" s="73">
        <f t="shared" si="8"/>
        <v>35664</v>
      </c>
      <c r="G39" s="74">
        <f t="shared" si="9"/>
        <v>17832</v>
      </c>
      <c r="H39" s="38">
        <v>1994</v>
      </c>
      <c r="I39" s="37">
        <v>30</v>
      </c>
      <c r="J39" s="38">
        <f t="shared" si="10"/>
        <v>11</v>
      </c>
      <c r="K39" s="38"/>
      <c r="L39" s="74">
        <f>G39/G41*B46</f>
        <v>2279.2707720378953</v>
      </c>
      <c r="M39" s="74">
        <f t="shared" si="11"/>
        <v>15552.729227962105</v>
      </c>
      <c r="N39" s="74"/>
      <c r="O39" s="74">
        <f t="shared" si="12"/>
        <v>1036.8486151974737</v>
      </c>
      <c r="P39" s="74">
        <f>G39/G41*B50</f>
        <v>542.61622843307612</v>
      </c>
      <c r="Q39" s="37"/>
      <c r="R39" s="39" t="s">
        <v>57</v>
      </c>
      <c r="S39" s="37"/>
      <c r="T39" s="37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34"/>
    </row>
    <row r="40" spans="1:31">
      <c r="A40" s="34" t="s">
        <v>60</v>
      </c>
      <c r="B40" s="34"/>
      <c r="C40" s="35"/>
      <c r="D40" s="72"/>
      <c r="E40" s="73"/>
      <c r="F40" s="73"/>
      <c r="G40" s="74">
        <f>G17*0.135</f>
        <v>7164.0821250000008</v>
      </c>
      <c r="H40" s="38"/>
      <c r="I40" s="37"/>
      <c r="J40" s="37"/>
      <c r="K40" s="38"/>
      <c r="L40" s="74">
        <f>G40/G41*B46</f>
        <v>915.70676289769165</v>
      </c>
      <c r="M40" s="74">
        <f t="shared" si="11"/>
        <v>6248.3753621023088</v>
      </c>
      <c r="N40" s="74"/>
      <c r="O40" s="74">
        <f t="shared" si="12"/>
        <v>416.55835747348726</v>
      </c>
      <c r="P40" s="74">
        <f>G40/G41*B50</f>
        <v>217.99838620750998</v>
      </c>
      <c r="Q40" s="37"/>
      <c r="R40" s="39"/>
      <c r="S40" s="37"/>
      <c r="T40" s="37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34"/>
    </row>
    <row r="41" spans="1:31">
      <c r="A41" s="42" t="s">
        <v>27</v>
      </c>
      <c r="B41" s="34"/>
      <c r="C41" s="35"/>
      <c r="D41" s="72"/>
      <c r="E41" s="73"/>
      <c r="F41" s="73"/>
      <c r="G41" s="75">
        <f>SUM(G32:G40)</f>
        <v>37858.182124999999</v>
      </c>
      <c r="H41" s="38"/>
      <c r="I41" s="37"/>
      <c r="J41" s="37"/>
      <c r="K41" s="38"/>
      <c r="L41" s="75">
        <f>SUM(L32:L40)</f>
        <v>4839</v>
      </c>
      <c r="M41" s="74"/>
      <c r="N41" s="74"/>
      <c r="O41" s="82">
        <f>SUM(O32:O40)</f>
        <v>2201.2788083333335</v>
      </c>
      <c r="P41" s="82">
        <f>SUM(P32:P40)+B54</f>
        <v>1152</v>
      </c>
      <c r="Q41" s="37"/>
      <c r="R41" s="83" t="str">
        <f>IF(O41&gt;P41,"** Requires Dues Increase (per unit per mnth","NO Dues increase required")</f>
        <v>** Requires Dues Increase (per unit per mnth</v>
      </c>
      <c r="S41" s="84">
        <f>IF(((O41-P41)/12)&gt;0,((O41-P41)/12),"")</f>
        <v>87.439900694444461</v>
      </c>
      <c r="T41" s="37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4"/>
    </row>
    <row r="42" spans="1:31" s="15" customFormat="1">
      <c r="A42" s="16"/>
      <c r="B42" s="16"/>
      <c r="C42" s="43"/>
      <c r="D42" s="76"/>
      <c r="E42" s="78"/>
      <c r="F42" s="77"/>
      <c r="G42" s="78"/>
      <c r="H42" s="45"/>
      <c r="I42" s="45"/>
      <c r="J42" s="45"/>
      <c r="K42" s="45"/>
      <c r="L42" s="78"/>
      <c r="M42" s="78"/>
      <c r="N42" s="78"/>
      <c r="O42" s="78"/>
      <c r="P42" s="78"/>
      <c r="Q42" s="45"/>
      <c r="R42" s="99" t="s">
        <v>62</v>
      </c>
      <c r="S42" s="100">
        <f>P41/O41</f>
        <v>0.52333216294042284</v>
      </c>
      <c r="T42" s="45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16"/>
    </row>
    <row r="43" spans="1:31">
      <c r="A43" s="34"/>
      <c r="B43" s="34"/>
      <c r="C43" s="35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9"/>
      <c r="S43" s="37"/>
      <c r="T43" s="37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34"/>
    </row>
    <row r="44" spans="1:31" s="48" customFormat="1" ht="15">
      <c r="C44" s="49"/>
      <c r="D44" s="50"/>
      <c r="E44" s="51"/>
      <c r="F44" s="52"/>
      <c r="G44" s="52"/>
      <c r="H44" s="52"/>
      <c r="I44" s="52"/>
      <c r="J44" s="53" t="s">
        <v>28</v>
      </c>
      <c r="K44" s="52"/>
      <c r="L44" s="81">
        <f>L29+L41</f>
        <v>35356</v>
      </c>
      <c r="M44" s="81"/>
      <c r="N44" s="81"/>
      <c r="O44" s="81">
        <f>O29+O41</f>
        <v>16433.325000000001</v>
      </c>
      <c r="P44" s="81">
        <f>P29+P41</f>
        <v>8352</v>
      </c>
      <c r="Q44" s="51"/>
      <c r="R44" s="101" t="s">
        <v>63</v>
      </c>
      <c r="S44" s="100">
        <f>P44/O44</f>
        <v>0.50823555184358615</v>
      </c>
      <c r="T44" s="51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1:31">
      <c r="A45" s="42" t="s">
        <v>86</v>
      </c>
      <c r="B45" s="79">
        <v>30517</v>
      </c>
      <c r="C45" s="80"/>
      <c r="D45" s="36"/>
      <c r="E45" s="37"/>
      <c r="F45" s="35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9"/>
      <c r="S45" s="37"/>
      <c r="T45" s="37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34"/>
    </row>
    <row r="46" spans="1:31">
      <c r="A46" s="42" t="s">
        <v>87</v>
      </c>
      <c r="B46" s="79">
        <v>4839</v>
      </c>
      <c r="C46" s="80"/>
      <c r="D46" s="36"/>
      <c r="E46" s="37"/>
      <c r="F46" s="35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9"/>
      <c r="S46" s="37"/>
      <c r="T46" s="37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34"/>
    </row>
    <row r="47" spans="1:31">
      <c r="A47" s="42" t="s">
        <v>88</v>
      </c>
      <c r="B47" s="79"/>
      <c r="C47" s="80">
        <f>B45+B46</f>
        <v>35356</v>
      </c>
      <c r="D47" s="36"/>
      <c r="E47" s="37"/>
      <c r="F47" s="35"/>
      <c r="G47" s="37"/>
      <c r="H47" s="37"/>
      <c r="I47" s="102" t="s">
        <v>64</v>
      </c>
      <c r="J47" s="37"/>
      <c r="K47" s="37"/>
      <c r="L47" s="37"/>
      <c r="M47" s="37"/>
      <c r="N47" s="37"/>
      <c r="O47" s="37"/>
      <c r="P47" s="37"/>
      <c r="Q47" s="37"/>
      <c r="R47" s="39"/>
      <c r="S47" s="37"/>
      <c r="T47" s="37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34"/>
    </row>
    <row r="48" spans="1:31">
      <c r="A48" s="42"/>
      <c r="B48" s="79"/>
      <c r="C48" s="73"/>
      <c r="D48" s="36"/>
      <c r="E48" s="37"/>
      <c r="F48" s="35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9"/>
      <c r="S48" s="37"/>
      <c r="T48" s="37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34"/>
    </row>
    <row r="49" spans="1:31">
      <c r="A49" s="42" t="s">
        <v>89</v>
      </c>
      <c r="B49" s="79">
        <v>7200</v>
      </c>
      <c r="C49" s="73"/>
      <c r="D49" s="36"/>
      <c r="E49" s="37"/>
      <c r="F49" s="35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9"/>
      <c r="S49" s="37"/>
      <c r="T49" s="37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34"/>
    </row>
    <row r="50" spans="1:31">
      <c r="A50" s="42" t="s">
        <v>90</v>
      </c>
      <c r="B50" s="79">
        <v>1152</v>
      </c>
      <c r="C50" s="73"/>
      <c r="D50" s="36"/>
      <c r="E50" s="37"/>
      <c r="F50" s="35"/>
      <c r="G50" s="37"/>
      <c r="H50" s="104"/>
      <c r="I50" s="103" t="s">
        <v>39</v>
      </c>
      <c r="J50" s="39"/>
      <c r="K50" s="103"/>
      <c r="L50" s="103"/>
      <c r="M50" s="37"/>
      <c r="N50" s="37"/>
      <c r="O50" s="37"/>
      <c r="P50" s="37"/>
      <c r="Q50" s="37"/>
      <c r="R50" s="39" t="s">
        <v>70</v>
      </c>
      <c r="S50" s="37"/>
      <c r="T50" s="37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34"/>
    </row>
    <row r="51" spans="1:31">
      <c r="A51" s="42" t="s">
        <v>91</v>
      </c>
      <c r="B51" s="79"/>
      <c r="C51" s="79">
        <f>B49+B50</f>
        <v>8352</v>
      </c>
      <c r="D51" s="36"/>
      <c r="E51" s="37"/>
      <c r="F51" s="35"/>
      <c r="G51" s="37"/>
      <c r="H51" s="37"/>
      <c r="I51" s="103"/>
      <c r="J51" s="39"/>
      <c r="K51" s="103"/>
      <c r="L51" s="103"/>
      <c r="M51" s="37"/>
      <c r="N51" s="37"/>
      <c r="O51" s="37"/>
      <c r="P51" s="37"/>
      <c r="Q51" s="37"/>
      <c r="R51" s="39" t="s">
        <v>69</v>
      </c>
      <c r="S51" s="37"/>
      <c r="T51" s="37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34"/>
    </row>
    <row r="52" spans="1:31">
      <c r="A52" s="34"/>
      <c r="B52" s="34"/>
      <c r="C52" s="35"/>
      <c r="D52" s="36"/>
      <c r="E52" s="37"/>
      <c r="F52" s="35"/>
      <c r="G52" s="37"/>
      <c r="H52" s="37"/>
      <c r="I52" s="103"/>
      <c r="J52" s="39"/>
      <c r="K52" s="103"/>
      <c r="L52" s="103"/>
      <c r="M52" s="37"/>
      <c r="N52" s="37"/>
      <c r="O52" s="37"/>
      <c r="P52" s="37"/>
      <c r="Q52" s="37"/>
      <c r="R52" s="39" t="s">
        <v>71</v>
      </c>
      <c r="S52" s="37"/>
      <c r="T52" s="37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34"/>
    </row>
    <row r="53" spans="1:31">
      <c r="A53" s="34" t="s">
        <v>53</v>
      </c>
      <c r="B53" s="79">
        <v>0</v>
      </c>
      <c r="C53" s="35"/>
      <c r="D53" s="55"/>
      <c r="E53" s="55"/>
      <c r="F53" s="55"/>
      <c r="G53" s="56"/>
      <c r="H53" s="56"/>
      <c r="I53" s="103"/>
      <c r="J53" s="39"/>
      <c r="K53" s="56"/>
      <c r="L53" s="56"/>
      <c r="M53" s="56"/>
      <c r="N53" s="56"/>
      <c r="O53" s="56"/>
      <c r="P53" s="56"/>
      <c r="Q53" s="56"/>
      <c r="R53" s="39" t="s">
        <v>72</v>
      </c>
      <c r="S53" s="56"/>
      <c r="T53" s="56"/>
      <c r="U53" s="57"/>
      <c r="V53" s="57"/>
      <c r="W53" s="57"/>
      <c r="X53" s="57"/>
      <c r="Y53" s="57"/>
      <c r="Z53" s="57"/>
      <c r="AA53" s="57"/>
      <c r="AB53" s="57"/>
      <c r="AC53" s="57"/>
      <c r="AD53" s="40"/>
      <c r="AE53" s="34"/>
    </row>
    <row r="54" spans="1:31">
      <c r="A54" s="34" t="s">
        <v>54</v>
      </c>
      <c r="B54" s="79">
        <v>0</v>
      </c>
      <c r="C54" s="35"/>
      <c r="D54" s="55"/>
      <c r="E54" s="55"/>
      <c r="F54" s="55"/>
      <c r="G54" s="56"/>
      <c r="H54" s="56"/>
      <c r="I54" s="103"/>
      <c r="J54" s="39"/>
      <c r="K54" s="56"/>
      <c r="L54" s="56"/>
      <c r="M54" s="56"/>
      <c r="N54" s="56"/>
      <c r="O54" s="56"/>
      <c r="P54" s="56"/>
      <c r="Q54" s="56"/>
      <c r="R54" s="39" t="s">
        <v>73</v>
      </c>
      <c r="S54" s="56"/>
      <c r="T54" s="56"/>
      <c r="U54" s="58"/>
      <c r="V54" s="58"/>
      <c r="W54" s="58"/>
      <c r="X54" s="58"/>
      <c r="Y54" s="58"/>
      <c r="Z54" s="58"/>
      <c r="AA54" s="58"/>
      <c r="AB54" s="58"/>
      <c r="AC54" s="58"/>
      <c r="AD54" s="40"/>
      <c r="AE54" s="34"/>
    </row>
    <row r="55" spans="1:31">
      <c r="A55" s="34"/>
      <c r="B55" s="34"/>
      <c r="C55" s="35"/>
      <c r="D55" s="55"/>
      <c r="E55" s="55"/>
      <c r="F55" s="55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39" t="s">
        <v>76</v>
      </c>
      <c r="S55" s="56"/>
      <c r="T55" s="56"/>
      <c r="U55" s="59"/>
      <c r="V55" s="59"/>
      <c r="W55" s="59"/>
      <c r="X55" s="59"/>
      <c r="Y55" s="59"/>
      <c r="Z55" s="59"/>
      <c r="AA55" s="59"/>
      <c r="AB55" s="59"/>
      <c r="AC55" s="59"/>
      <c r="AD55" s="40"/>
      <c r="AE55" s="34"/>
    </row>
    <row r="56" spans="1:31">
      <c r="A56" s="63" t="s">
        <v>68</v>
      </c>
      <c r="B56" s="9"/>
      <c r="C56" s="35"/>
      <c r="D56" s="60"/>
      <c r="E56" s="60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39" t="s">
        <v>77</v>
      </c>
      <c r="S56" s="61"/>
      <c r="T56" s="61"/>
      <c r="U56" s="61"/>
      <c r="V56" s="9"/>
      <c r="W56" s="9"/>
      <c r="X56" s="9"/>
      <c r="Y56" s="9"/>
      <c r="Z56" s="9"/>
      <c r="AA56" s="9"/>
      <c r="AB56" s="9"/>
      <c r="AC56" s="9"/>
      <c r="AD56" s="9"/>
      <c r="AE56" s="34"/>
    </row>
    <row r="57" spans="1:31">
      <c r="A57" s="67" t="s">
        <v>36</v>
      </c>
      <c r="B57" s="14"/>
      <c r="C57" s="34"/>
      <c r="D57" s="34"/>
      <c r="E57" s="34"/>
      <c r="F57" s="34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39"/>
      <c r="S57" s="40"/>
      <c r="T57" s="40"/>
      <c r="U57" s="34"/>
      <c r="Z57" s="62"/>
      <c r="AA57" s="62"/>
      <c r="AB57" s="62"/>
      <c r="AC57" s="62"/>
      <c r="AD57" s="62"/>
    </row>
    <row r="58" spans="1:31">
      <c r="A58" s="67" t="s">
        <v>37</v>
      </c>
      <c r="B58" s="14"/>
      <c r="C58" s="34"/>
      <c r="D58" s="34"/>
      <c r="E58" s="34"/>
      <c r="F58" s="34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39"/>
      <c r="S58" s="40"/>
      <c r="T58" s="40"/>
      <c r="U58" s="34"/>
    </row>
    <row r="59" spans="1:31">
      <c r="A59" s="63"/>
      <c r="B59" s="64"/>
      <c r="C59" s="64"/>
      <c r="D59" s="64"/>
      <c r="E59" s="64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65"/>
      <c r="T59" s="65"/>
      <c r="U59" s="64"/>
      <c r="AE59" s="34"/>
    </row>
    <row r="60" spans="1:31">
      <c r="A60" s="67"/>
      <c r="C60" s="68"/>
      <c r="D60" s="68"/>
      <c r="E60" s="68"/>
      <c r="F60" s="6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S60" s="4"/>
      <c r="T60" s="4"/>
      <c r="U60" s="68"/>
      <c r="W60" s="69"/>
      <c r="AB60" s="29"/>
    </row>
    <row r="61" spans="1:31">
      <c r="A61" s="67"/>
      <c r="C61" s="68"/>
      <c r="D61" s="68"/>
      <c r="E61" s="68"/>
      <c r="F61" s="6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S61" s="4"/>
      <c r="T61" s="4"/>
      <c r="U61" s="68"/>
      <c r="W61" s="70"/>
      <c r="AB61" s="29"/>
    </row>
  </sheetData>
  <phoneticPr fontId="0" type="noConversion"/>
  <pageMargins left="0.5" right="0" top="0.5" bottom="0.25" header="0" footer="0"/>
  <pageSetup scale="70" orientation="landscape" horizontalDpi="360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Reserve 15yr 09</vt:lpstr>
      <vt:lpstr>'Draft Reserve 15yr 09'!Print_Area</vt:lpstr>
    </vt:vector>
  </TitlesOfParts>
  <Company>Bighorn Rentals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Bain</dc:creator>
  <cp:lastModifiedBy>Carol</cp:lastModifiedBy>
  <cp:lastPrinted>2012-10-30T18:59:52Z</cp:lastPrinted>
  <dcterms:created xsi:type="dcterms:W3CDTF">2007-06-09T00:39:18Z</dcterms:created>
  <dcterms:modified xsi:type="dcterms:W3CDTF">2013-03-24T15:04:24Z</dcterms:modified>
</cp:coreProperties>
</file>